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05" windowWidth="7965" windowHeight="8640" activeTab="0"/>
  </bookViews>
  <sheets>
    <sheet name="Sheet1" sheetId="1" r:id="rId1"/>
    <sheet name="Sheet2" sheetId="2" r:id="rId2"/>
    <sheet name="Sheet3" sheetId="3" r:id="rId3"/>
  </sheets>
  <definedNames>
    <definedName name="_xlnm.Print_Area" localSheetId="0">'Sheet1'!$A$1:$P$134</definedName>
  </definedNames>
  <calcPr fullCalcOnLoad="1"/>
</workbook>
</file>

<file path=xl/sharedStrings.xml><?xml version="1.0" encoding="utf-8"?>
<sst xmlns="http://schemas.openxmlformats.org/spreadsheetml/2006/main" count="187" uniqueCount="99">
  <si>
    <t>SEL-487E Single Phase Test Current Calculator</t>
  </si>
  <si>
    <t>indicates a user entry</t>
  </si>
  <si>
    <t>indicates a calculated value</t>
  </si>
  <si>
    <t>RED</t>
  </si>
  <si>
    <t>indicates an entry error</t>
  </si>
  <si>
    <t>1.  Enter Relay Settings</t>
  </si>
  <si>
    <t>Compensation  Settings</t>
  </si>
  <si>
    <t>TAPS</t>
  </si>
  <si>
    <t>TAPT</t>
  </si>
  <si>
    <t>TAPU</t>
  </si>
  <si>
    <t>TAPW</t>
  </si>
  <si>
    <t>TAPX</t>
  </si>
  <si>
    <t>TSCTC</t>
  </si>
  <si>
    <t>TTCTC</t>
  </si>
  <si>
    <t>TUCTC</t>
  </si>
  <si>
    <t>TWCTC</t>
  </si>
  <si>
    <t>TXCTC</t>
  </si>
  <si>
    <t>Tap Settings</t>
  </si>
  <si>
    <t>Differential Settings</t>
  </si>
  <si>
    <t>O87P</t>
  </si>
  <si>
    <t>SLP1</t>
  </si>
  <si>
    <t>SLP2</t>
  </si>
  <si>
    <t>DIOPR</t>
  </si>
  <si>
    <t>DIRTR</t>
  </si>
  <si>
    <t>87QP</t>
  </si>
  <si>
    <t>SLPQ1</t>
  </si>
  <si>
    <t>Set CTC to 0 for unused winding</t>
  </si>
  <si>
    <t>Set TAP to 1 for unused winding</t>
  </si>
  <si>
    <t>WDG1</t>
  </si>
  <si>
    <t>WDG2</t>
  </si>
  <si>
    <t>Select S, T, U, W or X</t>
  </si>
  <si>
    <t>s</t>
  </si>
  <si>
    <t>A/B</t>
  </si>
  <si>
    <t>t</t>
  </si>
  <si>
    <t>Select Winding for Test</t>
  </si>
  <si>
    <t>Itest</t>
  </si>
  <si>
    <t>A=</t>
  </si>
  <si>
    <t>TAP=</t>
  </si>
  <si>
    <t>Select Two Windings for Test</t>
  </si>
  <si>
    <t>TAP1=</t>
  </si>
  <si>
    <t>TAP2=</t>
  </si>
  <si>
    <t>IRTmin=</t>
  </si>
  <si>
    <t>IRT_test=</t>
  </si>
  <si>
    <t>Select ITR for slope test &gt; IRTmin</t>
  </si>
  <si>
    <t>Minimum test current</t>
  </si>
  <si>
    <t>I_WDG1=</t>
  </si>
  <si>
    <t>I_WDG2=</t>
  </si>
  <si>
    <t>at</t>
  </si>
  <si>
    <t>deg.</t>
  </si>
  <si>
    <t>W1CTC=</t>
  </si>
  <si>
    <t>W2CTC=</t>
  </si>
  <si>
    <t>Winding 2 current is fixed</t>
  </si>
  <si>
    <t>|W1-W2|=</t>
  </si>
  <si>
    <t>Winding 1 Current</t>
  </si>
  <si>
    <t>At Balance Point (Iop = Irt)</t>
  </si>
  <si>
    <t>Initial Test Current</t>
  </si>
  <si>
    <t>At 87R Pickup</t>
  </si>
  <si>
    <t>This test assumes that O87P is set less than DIOPR.</t>
  </si>
  <si>
    <t>Use State simulation for Slope 2 tests</t>
  </si>
  <si>
    <t>Windings are as selected for Slope 1 test.</t>
  </si>
  <si>
    <t>WDG1=</t>
  </si>
  <si>
    <t>Select Two Windings for test</t>
  </si>
  <si>
    <t>RST78Qmin=</t>
  </si>
  <si>
    <t>RST78Qtest=</t>
  </si>
  <si>
    <t>Winding 2 Current (Fixed)</t>
  </si>
  <si>
    <t>Winding 1 Current (Initial)</t>
  </si>
  <si>
    <t>Winding 1 Current (Operation)</t>
  </si>
  <si>
    <t>Lower Winding 1 current until 87Q asserts</t>
  </si>
  <si>
    <t>W2CTC-W1CTC=</t>
  </si>
  <si>
    <t>Sets SEL-487E to high security mode (CON asserts)</t>
  </si>
  <si>
    <t xml:space="preserve">State 1 - </t>
  </si>
  <si>
    <t>TEST 1 - No operation</t>
  </si>
  <si>
    <t>Apply State 1 &amp; State 2 currents for 10 cycles</t>
  </si>
  <si>
    <t xml:space="preserve">State 2 </t>
  </si>
  <si>
    <t>TEST 2 - Trip on Slope 2</t>
  </si>
  <si>
    <t>Same currents as in Test 1</t>
  </si>
  <si>
    <t>Fault above Slope 2, differential trip</t>
  </si>
  <si>
    <t>Fault below Slope 2, no operation if duration is less than 800 ms.</t>
  </si>
  <si>
    <t>Alternate Slope 2 Tests without State Simulation</t>
  </si>
  <si>
    <t>IRTmax=</t>
  </si>
  <si>
    <t>IOPtest=</t>
  </si>
  <si>
    <t>NOTE:  IOPtest must be greater than O87P</t>
  </si>
  <si>
    <r>
      <rPr>
        <b/>
        <i/>
        <sz val="11"/>
        <color indexed="8"/>
        <rFont val="Calibri"/>
        <family val="2"/>
      </rPr>
      <t>Test 1</t>
    </r>
    <r>
      <rPr>
        <i/>
        <sz val="11"/>
        <color indexed="8"/>
        <rFont val="Calibri"/>
        <family val="2"/>
      </rPr>
      <t xml:space="preserve"> - relay will trip after about 1 second</t>
    </r>
  </si>
  <si>
    <r>
      <rPr>
        <b/>
        <i/>
        <sz val="11"/>
        <color indexed="8"/>
        <rFont val="Calibri"/>
        <family val="2"/>
      </rPr>
      <t>Test 2</t>
    </r>
    <r>
      <rPr>
        <i/>
        <sz val="11"/>
        <color indexed="8"/>
        <rFont val="Calibri"/>
        <family val="2"/>
      </rPr>
      <t xml:space="preserve"> - relay will trip without time delay</t>
    </r>
  </si>
  <si>
    <t>Suggested IRT=</t>
  </si>
  <si>
    <t>3.  Restrained Phase Differential Pickup Test</t>
  </si>
  <si>
    <t>2.  Unrestrained Phase Differential Pickup Test</t>
  </si>
  <si>
    <t>4.  Phase Differential Slope 1 Restraint Test</t>
  </si>
  <si>
    <t>5.  Phase Differential Slope 2 Restraint Test</t>
  </si>
  <si>
    <t>6.  Negative Sequence Differential Pickup Test</t>
  </si>
  <si>
    <t>7.  Negative Sequence Differential Slope Restraint Test</t>
  </si>
  <si>
    <t>U87P</t>
  </si>
  <si>
    <r>
      <t xml:space="preserve">CAUTION: </t>
    </r>
    <r>
      <rPr>
        <sz val="11"/>
        <color theme="1"/>
        <rFont val="Calibri"/>
        <family val="2"/>
      </rPr>
      <t xml:space="preserve">  The resulting test current may be above the continuous rating of the relay (3 times nominal rated current).  For currents  above the continuous rating, the maximum time in seconds that the test current can be applied without damage may be approximated by:</t>
    </r>
  </si>
  <si>
    <t>I test is the current calculated above</t>
  </si>
  <si>
    <t>Inom is the rated current (1 or 5 A)</t>
  </si>
  <si>
    <t xml:space="preserve">Where: </t>
  </si>
  <si>
    <t>IRTtest2=</t>
  </si>
  <si>
    <t>IRTtest2 min=</t>
  </si>
  <si>
    <t xml:space="preserve">This program is intended to supplement application guide AG2010.07, "Testing The SEL-487E Differential Elements".  Please refer to the application guide for details on the test proceedure.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</si>
</sst>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1"/>
      <color theme="1"/>
      <name val="Calibri"/>
      <family val="2"/>
    </font>
    <font>
      <sz val="11"/>
      <color indexed="8"/>
      <name val="Calibri"/>
      <family val="2"/>
    </font>
    <font>
      <sz val="11"/>
      <color indexed="10"/>
      <name val="Calibri"/>
      <family val="2"/>
    </font>
    <font>
      <b/>
      <sz val="11"/>
      <color indexed="8"/>
      <name val="Calibri"/>
      <family val="2"/>
    </font>
    <font>
      <b/>
      <u val="single"/>
      <sz val="11"/>
      <color indexed="8"/>
      <name val="Calibri"/>
      <family val="2"/>
    </font>
    <font>
      <i/>
      <sz val="11"/>
      <color indexed="8"/>
      <name val="Calibri"/>
      <family val="2"/>
    </font>
    <font>
      <sz val="18"/>
      <color indexed="8"/>
      <name val="Calibri"/>
      <family val="2"/>
    </font>
    <font>
      <b/>
      <sz val="11"/>
      <color indexed="62"/>
      <name val="Calibri"/>
      <family val="2"/>
    </font>
    <font>
      <b/>
      <i/>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4"/>
      <name val="Calibri"/>
      <family val="2"/>
    </font>
    <font>
      <i/>
      <sz val="11"/>
      <color theme="1"/>
      <name val="Calibri"/>
      <family val="2"/>
    </font>
    <font>
      <b/>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5">
    <xf numFmtId="0" fontId="0" fillId="0" borderId="0" xfId="0" applyFont="1" applyAlignment="1">
      <alignment/>
    </xf>
    <xf numFmtId="0" fontId="0" fillId="33" borderId="0" xfId="0" applyFill="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34" borderId="0" xfId="0" applyFill="1" applyAlignment="1">
      <alignment/>
    </xf>
    <xf numFmtId="0" fontId="0" fillId="0" borderId="0" xfId="0" applyAlignment="1">
      <alignment horizontal="center"/>
    </xf>
    <xf numFmtId="0" fontId="0" fillId="34" borderId="0" xfId="0" applyFill="1" applyAlignment="1">
      <alignment horizontal="center"/>
    </xf>
    <xf numFmtId="0" fontId="0" fillId="0" borderId="0" xfId="0" applyFill="1" applyAlignment="1">
      <alignment horizontal="center"/>
    </xf>
    <xf numFmtId="0" fontId="0" fillId="0" borderId="0" xfId="0" applyAlignment="1">
      <alignment horizontal="right"/>
    </xf>
    <xf numFmtId="0" fontId="0" fillId="0" borderId="0" xfId="0" applyFill="1" applyAlignment="1">
      <alignment horizontal="right"/>
    </xf>
    <xf numFmtId="2" fontId="0" fillId="34" borderId="0" xfId="0" applyNumberFormat="1" applyFill="1" applyAlignment="1">
      <alignment horizontal="center"/>
    </xf>
    <xf numFmtId="0" fontId="0" fillId="0" borderId="0" xfId="0" applyFill="1" applyAlignment="1">
      <alignment/>
    </xf>
    <xf numFmtId="2" fontId="0" fillId="34" borderId="0" xfId="0" applyNumberFormat="1" applyFill="1" applyAlignment="1">
      <alignment/>
    </xf>
    <xf numFmtId="0" fontId="5" fillId="0" borderId="0" xfId="0" applyFont="1" applyAlignment="1">
      <alignment/>
    </xf>
    <xf numFmtId="0" fontId="0" fillId="0" borderId="0" xfId="0" applyBorder="1" applyAlignment="1">
      <alignment/>
    </xf>
    <xf numFmtId="0" fontId="6" fillId="0" borderId="0" xfId="0" applyFont="1" applyBorder="1" applyAlignment="1">
      <alignment/>
    </xf>
    <xf numFmtId="0" fontId="0" fillId="0" borderId="0" xfId="0" applyBorder="1" applyAlignment="1">
      <alignment horizontal="centerContinuous" wrapText="1"/>
    </xf>
    <xf numFmtId="0" fontId="7" fillId="0" borderId="0" xfId="0" applyFont="1" applyAlignment="1">
      <alignment/>
    </xf>
    <xf numFmtId="0" fontId="8" fillId="0" borderId="0" xfId="0" applyFont="1" applyAlignment="1">
      <alignment/>
    </xf>
    <xf numFmtId="0" fontId="0" fillId="34" borderId="0" xfId="0" applyNumberFormat="1" applyFill="1" applyAlignment="1">
      <alignment horizontal="center"/>
    </xf>
    <xf numFmtId="0" fontId="0" fillId="0" borderId="0" xfId="0" applyAlignment="1">
      <alignment horizontal="left"/>
    </xf>
    <xf numFmtId="0" fontId="5" fillId="0" borderId="0" xfId="0" applyFont="1" applyAlignment="1">
      <alignment horizontal="left"/>
    </xf>
    <xf numFmtId="0" fontId="9" fillId="0" borderId="0" xfId="0" applyFont="1" applyAlignment="1">
      <alignment horizontal="right"/>
    </xf>
    <xf numFmtId="0" fontId="40" fillId="0" borderId="0" xfId="0" applyFont="1" applyAlignment="1">
      <alignment/>
    </xf>
    <xf numFmtId="0" fontId="41" fillId="0" borderId="0" xfId="0" applyFont="1" applyAlignment="1">
      <alignment/>
    </xf>
    <xf numFmtId="0" fontId="42" fillId="0" borderId="0" xfId="0" applyFont="1" applyAlignment="1">
      <alignment/>
    </xf>
    <xf numFmtId="0" fontId="40" fillId="0" borderId="0" xfId="0" applyFont="1" applyAlignment="1">
      <alignment horizontal="left"/>
    </xf>
    <xf numFmtId="49" fontId="0" fillId="33" borderId="0" xfId="0" applyNumberFormat="1" applyFill="1" applyAlignment="1" applyProtection="1">
      <alignment horizontal="center"/>
      <protection locked="0"/>
    </xf>
    <xf numFmtId="0" fontId="0" fillId="35" borderId="0" xfId="0" applyFill="1" applyAlignment="1" applyProtection="1">
      <alignment horizontal="center"/>
      <protection locked="0"/>
    </xf>
    <xf numFmtId="0" fontId="0" fillId="33" borderId="0" xfId="0" applyFill="1" applyAlignment="1" applyProtection="1">
      <alignment horizontal="center"/>
      <protection locked="0"/>
    </xf>
    <xf numFmtId="2" fontId="0" fillId="33" borderId="0" xfId="0" applyNumberFormat="1" applyFill="1" applyAlignment="1" applyProtection="1">
      <alignment horizontal="center"/>
      <protection locked="0"/>
    </xf>
    <xf numFmtId="2" fontId="0" fillId="33" borderId="0" xfId="0" applyNumberFormat="1" applyFill="1" applyAlignment="1" applyProtection="1">
      <alignment horizontal="center" vertical="center"/>
      <protection locked="0"/>
    </xf>
    <xf numFmtId="0" fontId="39" fillId="0" borderId="0" xfId="0" applyFont="1" applyAlignment="1">
      <alignment horizontal="left"/>
    </xf>
    <xf numFmtId="0" fontId="39" fillId="0" borderId="0" xfId="0" applyFont="1" applyAlignment="1">
      <alignment/>
    </xf>
    <xf numFmtId="0" fontId="38" fillId="0" borderId="10" xfId="0" applyFont="1" applyBorder="1" applyAlignment="1">
      <alignment horizontal="centerContinuous" vertical="top" wrapText="1"/>
    </xf>
    <xf numFmtId="0" fontId="0" fillId="0" borderId="11" xfId="0" applyBorder="1" applyAlignment="1">
      <alignment horizontal="centerContinuous" vertical="top" wrapText="1"/>
    </xf>
    <xf numFmtId="0" fontId="0" fillId="0" borderId="12" xfId="0" applyBorder="1" applyAlignment="1">
      <alignment horizontal="centerContinuous" vertical="top" wrapText="1"/>
    </xf>
    <xf numFmtId="0" fontId="0" fillId="0" borderId="13" xfId="0" applyBorder="1" applyAlignment="1">
      <alignment horizontal="centerContinuous" wrapText="1"/>
    </xf>
    <xf numFmtId="0" fontId="0" fillId="0" borderId="14" xfId="0" applyBorder="1" applyAlignment="1">
      <alignment horizontal="centerContinuous" wrapText="1"/>
    </xf>
    <xf numFmtId="0" fontId="0" fillId="0" borderId="13" xfId="0" applyBorder="1" applyAlignment="1">
      <alignment/>
    </xf>
    <xf numFmtId="0" fontId="0" fillId="0" borderId="15" xfId="0" applyBorder="1" applyAlignment="1">
      <alignment horizontal="centerContinuous" wrapText="1"/>
    </xf>
    <xf numFmtId="0" fontId="0" fillId="0" borderId="16" xfId="0" applyBorder="1" applyAlignment="1">
      <alignment/>
    </xf>
    <xf numFmtId="0" fontId="0" fillId="0" borderId="16" xfId="0" applyBorder="1" applyAlignment="1">
      <alignment horizontal="centerContinuous" wrapText="1"/>
    </xf>
    <xf numFmtId="0" fontId="0" fillId="0" borderId="17" xfId="0" applyBorder="1" applyAlignment="1">
      <alignment horizontal="centerContinuous"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0</xdr:rowOff>
    </xdr:from>
    <xdr:to>
      <xdr:col>5</xdr:col>
      <xdr:colOff>409575</xdr:colOff>
      <xdr:row>4</xdr:row>
      <xdr:rowOff>504825</xdr:rowOff>
    </xdr:to>
    <xdr:pic>
      <xdr:nvPicPr>
        <xdr:cNvPr id="1" name="Picture 3"/>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219325" y="2009775"/>
          <a:ext cx="10191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32"/>
  <sheetViews>
    <sheetView tabSelected="1" zoomScalePageLayoutView="0" workbookViewId="0" topLeftCell="A1">
      <selection activeCell="B3" sqref="B3"/>
    </sheetView>
  </sheetViews>
  <sheetFormatPr defaultColWidth="9.140625" defaultRowHeight="15"/>
  <cols>
    <col min="1" max="1" width="5.8515625" style="0" customWidth="1"/>
  </cols>
  <sheetData>
    <row r="1" spans="1:12" ht="29.25" customHeight="1">
      <c r="A1" s="15"/>
      <c r="B1" s="16" t="s">
        <v>0</v>
      </c>
      <c r="C1" s="15"/>
      <c r="D1" s="15"/>
      <c r="E1" s="15"/>
      <c r="F1" s="15"/>
      <c r="G1" s="15"/>
      <c r="H1" s="15"/>
      <c r="I1" s="15"/>
      <c r="J1" s="15"/>
      <c r="K1" s="15"/>
      <c r="L1" s="15"/>
    </row>
    <row r="2" spans="1:12" ht="45.75" customHeight="1">
      <c r="A2" s="15"/>
      <c r="B2" s="17" t="s">
        <v>98</v>
      </c>
      <c r="C2" s="17"/>
      <c r="D2" s="17"/>
      <c r="E2" s="17"/>
      <c r="F2" s="17"/>
      <c r="G2" s="17"/>
      <c r="H2" s="17"/>
      <c r="I2" s="15"/>
      <c r="J2" s="15"/>
      <c r="K2" s="15"/>
      <c r="L2" s="15"/>
    </row>
    <row r="3" spans="1:12" ht="14.25" customHeight="1" thickBot="1">
      <c r="A3" s="15"/>
      <c r="B3" s="17"/>
      <c r="C3" s="17"/>
      <c r="D3" s="17"/>
      <c r="E3" s="17"/>
      <c r="F3" s="17"/>
      <c r="G3" s="17"/>
      <c r="H3" s="17"/>
      <c r="I3" s="15"/>
      <c r="J3" s="15"/>
      <c r="K3" s="15"/>
      <c r="L3" s="15"/>
    </row>
    <row r="4" spans="1:12" ht="69" customHeight="1" thickTop="1">
      <c r="A4" s="15"/>
      <c r="B4" s="35" t="s">
        <v>92</v>
      </c>
      <c r="C4" s="36"/>
      <c r="D4" s="36"/>
      <c r="E4" s="36"/>
      <c r="F4" s="36"/>
      <c r="G4" s="36"/>
      <c r="H4" s="37"/>
      <c r="I4" s="15"/>
      <c r="J4" s="15"/>
      <c r="K4" s="15"/>
      <c r="L4" s="15"/>
    </row>
    <row r="5" spans="1:12" ht="44.25" customHeight="1">
      <c r="A5" s="15"/>
      <c r="B5" s="38"/>
      <c r="C5" s="17"/>
      <c r="D5" s="17"/>
      <c r="E5" s="15"/>
      <c r="F5" s="17"/>
      <c r="G5" s="17"/>
      <c r="H5" s="39"/>
      <c r="I5" s="15"/>
      <c r="J5" s="15"/>
      <c r="K5" s="15"/>
      <c r="L5" s="15"/>
    </row>
    <row r="6" spans="1:12" ht="14.25" customHeight="1">
      <c r="A6" s="15"/>
      <c r="B6" s="40" t="s">
        <v>95</v>
      </c>
      <c r="C6" s="15" t="s">
        <v>93</v>
      </c>
      <c r="D6" s="17"/>
      <c r="E6" s="17"/>
      <c r="F6" s="17"/>
      <c r="G6" s="17"/>
      <c r="H6" s="39"/>
      <c r="I6" s="15"/>
      <c r="J6" s="15"/>
      <c r="K6" s="15"/>
      <c r="L6" s="15"/>
    </row>
    <row r="7" spans="1:12" ht="14.25" customHeight="1" thickBot="1">
      <c r="A7" s="15"/>
      <c r="B7" s="41"/>
      <c r="C7" s="42" t="s">
        <v>94</v>
      </c>
      <c r="D7" s="43"/>
      <c r="E7" s="43"/>
      <c r="F7" s="43"/>
      <c r="G7" s="43"/>
      <c r="H7" s="44"/>
      <c r="I7" s="15"/>
      <c r="J7" s="15"/>
      <c r="K7" s="15"/>
      <c r="L7" s="15"/>
    </row>
    <row r="8" spans="1:12" ht="17.25" customHeight="1" thickTop="1">
      <c r="A8" s="15"/>
      <c r="B8" s="17"/>
      <c r="C8" s="17"/>
      <c r="D8" s="17"/>
      <c r="E8" s="17"/>
      <c r="F8" s="17"/>
      <c r="G8" s="17"/>
      <c r="H8" s="17"/>
      <c r="I8" s="15"/>
      <c r="J8" s="15"/>
      <c r="K8" s="15"/>
      <c r="L8" s="15"/>
    </row>
    <row r="10" spans="2:3" ht="15">
      <c r="B10" s="1"/>
      <c r="C10" t="s">
        <v>1</v>
      </c>
    </row>
    <row r="11" spans="2:3" ht="15">
      <c r="B11" s="5"/>
      <c r="C11" t="s">
        <v>2</v>
      </c>
    </row>
    <row r="12" spans="2:3" ht="15">
      <c r="B12" s="2" t="s">
        <v>3</v>
      </c>
      <c r="C12" t="s">
        <v>4</v>
      </c>
    </row>
    <row r="15" ht="15">
      <c r="B15" s="4" t="s">
        <v>5</v>
      </c>
    </row>
    <row r="17" spans="2:8" ht="15">
      <c r="B17" s="3" t="s">
        <v>6</v>
      </c>
      <c r="E17" t="s">
        <v>26</v>
      </c>
      <c r="H17" s="6" t="s">
        <v>32</v>
      </c>
    </row>
    <row r="18" spans="2:8" ht="15">
      <c r="B18" t="s">
        <v>12</v>
      </c>
      <c r="C18" s="30">
        <v>11</v>
      </c>
      <c r="D18" s="2" t="str">
        <f>IF(OR(C18=0,C18=1,C18=2,C18=3,C18=4,C18=5,C18=6,C18=7,C18=8,C18=9,C18=10,C18=11,C18=12)," ","INVALID")</f>
        <v> </v>
      </c>
      <c r="H18" s="11">
        <f>IF(OR(C18=1,C18=3,C18=5,C18=7,C18=9,C18=11),SQRT(3),IF(OR(C18=6,C18=12),"1.5",IF(OR(C18=2,C18=4,C18=8,C18=10),"3","1")))</f>
        <v>1.7320508075688772</v>
      </c>
    </row>
    <row r="19" spans="2:8" ht="15">
      <c r="B19" t="s">
        <v>13</v>
      </c>
      <c r="C19" s="30">
        <v>12</v>
      </c>
      <c r="D19" s="2" t="str">
        <f>IF(OR(C19=0,C19=1,C19=2,C19=3,C19=4,C19=5,C19=6,C19=7,C19=8,C19=9,C19=10,C19=11,C19=12)," ","INVALID")</f>
        <v> </v>
      </c>
      <c r="H19" s="11" t="str">
        <f>IF(OR(C19=1,C19=3,C19=5,C19=7,C19=9,C19=11),SQRT(3),IF(OR(C19=6,C19=12),"1.5",IF(OR(C19=2,C19=4,C19=8,C19=10),"3","1")))</f>
        <v>1.5</v>
      </c>
    </row>
    <row r="20" spans="2:8" ht="15">
      <c r="B20" t="s">
        <v>14</v>
      </c>
      <c r="C20" s="30">
        <v>1</v>
      </c>
      <c r="D20" s="2" t="str">
        <f>IF(OR(C20=0,C20=1,C20=2,C20=3,C20=4,C20=5,C20=6,C20=7,C20=8,C20=9,C20=10,C20=11,C20=12)," ","INVALID")</f>
        <v> </v>
      </c>
      <c r="H20" s="11">
        <f>IF(OR(C20=1,C20=3,C20=5,C20=7,C20=9,C20=11),SQRT(3),IF(OR(C20=6,C20=12),"1.5",IF(OR(C20=2,C20=4,C20=8,C20=10),"3","1")))</f>
        <v>1.7320508075688772</v>
      </c>
    </row>
    <row r="21" spans="2:8" ht="15">
      <c r="B21" t="s">
        <v>15</v>
      </c>
      <c r="C21" s="30">
        <v>1</v>
      </c>
      <c r="D21" s="2" t="str">
        <f>IF(OR(C21=0,C21=1,C21=2,C21=3,C21=4,C21=5,C21=6,C21=7,C21=8,C21=9,C21=10,C21=11,C21=12)," ","INVALID")</f>
        <v> </v>
      </c>
      <c r="H21" s="11">
        <f>IF(OR(C21=1,C21=3,C21=5,C21=7,C21=9,C21=11),SQRT(3),IF(OR(C21=6,C21=12),"1.5",IF(OR(C21=2,C21=4,C21=8,C21=10),"3","1")))</f>
        <v>1.7320508075688772</v>
      </c>
    </row>
    <row r="22" spans="2:8" ht="15">
      <c r="B22" t="s">
        <v>16</v>
      </c>
      <c r="C22" s="30">
        <v>1</v>
      </c>
      <c r="D22" s="2" t="str">
        <f>IF(OR(C22=0,C22=1,C22=2,C22=3,C22=4,C22=5,C22=6,C22=7,C22=8,C22=9,C22=10,C22=11,C22=12)," ","INVALID")</f>
        <v> </v>
      </c>
      <c r="H22" s="11">
        <f>IF(OR(C22=1,C22=3,C22=5,C22=7,C22=9,C22=11),SQRT(3),IF(OR(C22=6,C22=12),"1.5",IF(OR(C22=2,C22=4,C22=8,C22=10),"3","1")))</f>
        <v>1.7320508075688772</v>
      </c>
    </row>
    <row r="24" ht="15">
      <c r="B24" s="3" t="s">
        <v>17</v>
      </c>
    </row>
    <row r="25" spans="2:5" ht="15">
      <c r="B25" t="s">
        <v>7</v>
      </c>
      <c r="C25" s="32">
        <v>1.74</v>
      </c>
      <c r="D25" s="2" t="str">
        <f>IF(C25&lt;0.5,"INVALID",IF(C25&gt;175,"INVALID"," "))</f>
        <v> </v>
      </c>
      <c r="E25" t="s">
        <v>27</v>
      </c>
    </row>
    <row r="26" spans="2:4" ht="15">
      <c r="B26" t="s">
        <v>8</v>
      </c>
      <c r="C26" s="32">
        <v>6.97</v>
      </c>
      <c r="D26" s="2" t="str">
        <f>IF(C26&lt;0.5,"INVALID",IF(C26&gt;175,"INVALID"," "))</f>
        <v> </v>
      </c>
    </row>
    <row r="27" spans="2:4" ht="15">
      <c r="B27" t="s">
        <v>9</v>
      </c>
      <c r="C27" s="32">
        <v>1</v>
      </c>
      <c r="D27" s="2" t="str">
        <f>IF(C27&lt;0.5,"INVALID",IF(C27&gt;175,"INVALID"," "))</f>
        <v> </v>
      </c>
    </row>
    <row r="28" spans="2:4" ht="15">
      <c r="B28" t="s">
        <v>10</v>
      </c>
      <c r="C28" s="32">
        <v>1</v>
      </c>
      <c r="D28" s="2" t="str">
        <f>IF(C28&lt;0.5,"INVALID",IF(C28&gt;175,"INVALID"," "))</f>
        <v> </v>
      </c>
    </row>
    <row r="29" spans="2:4" ht="15">
      <c r="B29" t="s">
        <v>11</v>
      </c>
      <c r="C29" s="32">
        <v>1</v>
      </c>
      <c r="D29" s="2" t="str">
        <f>IF(C29&lt;0.5,"INVALID",IF(C29&gt;175,"INVALID"," "))</f>
        <v> </v>
      </c>
    </row>
    <row r="31" ht="15">
      <c r="B31" s="3" t="s">
        <v>18</v>
      </c>
    </row>
    <row r="32" spans="2:4" ht="15">
      <c r="B32" t="s">
        <v>19</v>
      </c>
      <c r="C32" s="30">
        <v>0.3</v>
      </c>
      <c r="D32" s="2" t="str">
        <f>IF(C32&lt;0.1,"INVALID",IF(C32&gt;4,"INVALID"," "))</f>
        <v> </v>
      </c>
    </row>
    <row r="33" spans="2:4" ht="15">
      <c r="B33" t="s">
        <v>20</v>
      </c>
      <c r="C33" s="30">
        <v>12.5</v>
      </c>
      <c r="D33" s="2" t="str">
        <f>IF(C33&lt;5,"INVALID",IF(C33&gt;100,"INVALID"," "))</f>
        <v> </v>
      </c>
    </row>
    <row r="34" spans="2:4" ht="15">
      <c r="B34" t="s">
        <v>21</v>
      </c>
      <c r="C34" s="30">
        <v>25</v>
      </c>
      <c r="D34" s="2" t="str">
        <f>IF(C34&lt;5,"INVALID",IF(C34&gt;100,"INVALID"," "))</f>
        <v> </v>
      </c>
    </row>
    <row r="35" spans="2:4" ht="15">
      <c r="B35" t="s">
        <v>91</v>
      </c>
      <c r="C35" s="30">
        <v>8</v>
      </c>
      <c r="D35" s="2"/>
    </row>
    <row r="36" spans="2:4" ht="15">
      <c r="B36" t="s">
        <v>22</v>
      </c>
      <c r="C36" s="30">
        <v>1.2</v>
      </c>
      <c r="D36" s="2" t="str">
        <f>IF(C36&lt;0.1,"INVALID",IF(C36&gt;10,"INVALID"," "))</f>
        <v> </v>
      </c>
    </row>
    <row r="37" spans="2:4" ht="15">
      <c r="B37" t="s">
        <v>23</v>
      </c>
      <c r="C37" s="30">
        <v>1.2</v>
      </c>
      <c r="D37" s="2" t="str">
        <f>IF(C37&lt;0.1,"INVALID",IF(C37&gt;10,"INVALID"," "))</f>
        <v> </v>
      </c>
    </row>
    <row r="38" spans="2:4" ht="15">
      <c r="B38" t="s">
        <v>24</v>
      </c>
      <c r="C38" s="30">
        <v>0.1</v>
      </c>
      <c r="D38" s="2" t="str">
        <f>IF(C38&lt;0.05,"INVALID",IF(C38&gt;1,"INVALID"," "))</f>
        <v> </v>
      </c>
    </row>
    <row r="39" spans="2:4" ht="15">
      <c r="B39" t="s">
        <v>25</v>
      </c>
      <c r="C39" s="30">
        <v>10</v>
      </c>
      <c r="D39" s="2" t="str">
        <f>IF(C39&lt;5,"INVALID",IF(C39&gt;100,"INVALID"," "))</f>
        <v> </v>
      </c>
    </row>
    <row r="41" ht="15">
      <c r="B41" s="4" t="s">
        <v>86</v>
      </c>
    </row>
    <row r="42" ht="15">
      <c r="B42" s="14" t="s">
        <v>34</v>
      </c>
    </row>
    <row r="43" spans="2:5" ht="15">
      <c r="B43" t="s">
        <v>28</v>
      </c>
      <c r="C43" s="28" t="s">
        <v>31</v>
      </c>
      <c r="D43" t="str">
        <f>IF(C43="S"," ",IF(C43="T"," ",IF(C43="U"," ",IF(C43="W"," ",IF(C43="X"," ","INVALID")))))</f>
        <v> </v>
      </c>
      <c r="E43" t="s">
        <v>30</v>
      </c>
    </row>
    <row r="44" spans="2:10" ht="15">
      <c r="B44" t="s">
        <v>35</v>
      </c>
      <c r="C44">
        <f>C35*H44*J44</f>
        <v>24.11014724135877</v>
      </c>
      <c r="G44" s="10" t="s">
        <v>37</v>
      </c>
      <c r="H44">
        <f>IF(C43="s",C25,IF(C43="T",C26,IF(C43="U",C27,IF(C43="W",C28,IF(C43="X",C29,)))))</f>
        <v>1.74</v>
      </c>
      <c r="I44" s="10" t="s">
        <v>36</v>
      </c>
      <c r="J44">
        <f>IF(C43="s",H18,IF(C43="T",H19,IF(C43="U",H20,IF(C43="W",H21,IF(C43="X",H22,)))))</f>
        <v>1.7320508075688772</v>
      </c>
    </row>
    <row r="45" ht="15">
      <c r="B45" s="4"/>
    </row>
    <row r="46" ht="15">
      <c r="B46" s="4"/>
    </row>
    <row r="47" ht="15">
      <c r="B47" s="4" t="s">
        <v>85</v>
      </c>
    </row>
    <row r="48" ht="15">
      <c r="B48" s="14" t="s">
        <v>34</v>
      </c>
    </row>
    <row r="49" spans="2:5" ht="15">
      <c r="B49" t="s">
        <v>28</v>
      </c>
      <c r="C49" s="28" t="s">
        <v>31</v>
      </c>
      <c r="D49" t="str">
        <f>IF(C49="S"," ",IF(C49="T"," ",IF(C49="U"," ",IF(C49="W"," ",IF(C49="X"," ","INVALID")))))</f>
        <v> </v>
      </c>
      <c r="E49" t="s">
        <v>30</v>
      </c>
    </row>
    <row r="50" ht="15">
      <c r="C50" s="8"/>
    </row>
    <row r="51" spans="2:10" ht="15">
      <c r="B51" t="s">
        <v>35</v>
      </c>
      <c r="C51" s="11">
        <f>C32*H51*J51</f>
        <v>0.904130521550954</v>
      </c>
      <c r="G51" s="10" t="s">
        <v>37</v>
      </c>
      <c r="H51" s="7">
        <f>IF(C49="s",C25,IF(C49="T",C26,IF(C49="U",C27,IF(C49="W",C28,IF(C49="X",C29,)))))</f>
        <v>1.74</v>
      </c>
      <c r="I51" s="10" t="s">
        <v>36</v>
      </c>
      <c r="J51" s="11">
        <f>IF(C49="s",H18,IF(C49="T",H19,IF(C49="U",H20,IF(C49="W",H21,IF(C49="X",H22,)))))</f>
        <v>1.7320508075688772</v>
      </c>
    </row>
    <row r="52" spans="3:9" ht="15">
      <c r="C52" s="6"/>
      <c r="I52" s="12"/>
    </row>
    <row r="53" spans="2:9" ht="15">
      <c r="B53" s="4" t="s">
        <v>87</v>
      </c>
      <c r="C53" s="8"/>
      <c r="I53" s="12"/>
    </row>
    <row r="54" ht="15">
      <c r="I54" s="12"/>
    </row>
    <row r="55" spans="2:9" ht="15">
      <c r="B55" s="14" t="s">
        <v>38</v>
      </c>
      <c r="I55" s="12"/>
    </row>
    <row r="56" spans="2:13" ht="15">
      <c r="B56" t="s">
        <v>28</v>
      </c>
      <c r="C56" s="28" t="s">
        <v>31</v>
      </c>
      <c r="D56" t="str">
        <f>IF(C56="S"," ",IF(C56="T"," ",IF(C56="U"," ",IF(C56="W"," ",IF(C56="X"," ","INVALID")))))</f>
        <v> </v>
      </c>
      <c r="E56" t="s">
        <v>30</v>
      </c>
      <c r="G56" s="10" t="s">
        <v>39</v>
      </c>
      <c r="H56" s="7">
        <f>IF(C56="s",C25,IF(C56="T",C26,IF(C56="U",C27,IF(C56="W",C28,IF(C56="X",C29,)))))</f>
        <v>1.74</v>
      </c>
      <c r="I56" s="10" t="s">
        <v>36</v>
      </c>
      <c r="J56" s="11">
        <f>IF(C56="s",H18,IF(C56="T",H19,IF(C56="U",H20,IF(C56="W",H21,IF(C56="X",H22,)))))</f>
        <v>1.7320508075688772</v>
      </c>
      <c r="L56" s="9" t="s">
        <v>49</v>
      </c>
      <c r="M56" s="7">
        <f>IF(C56="s",C18,IF(C56="T",C19,IF(C56="U",C20,IF(C56="W",C21,IF(C56="X",C22,)))))</f>
        <v>11</v>
      </c>
    </row>
    <row r="57" spans="2:13" ht="15">
      <c r="B57" t="s">
        <v>29</v>
      </c>
      <c r="C57" s="30" t="s">
        <v>33</v>
      </c>
      <c r="D57" t="str">
        <f>IF(C57="S"," ",IF(C57="T"," ",IF(C57="U"," ",IF(C57="W"," ",IF(C57="X"," ",IF(C56=C57,"INVALID","INVALID"))))))</f>
        <v> </v>
      </c>
      <c r="G57" s="10" t="s">
        <v>40</v>
      </c>
      <c r="H57" s="7">
        <f>IF(C57="s",C25,IF(C57="T",C26,IF(C57="U",C27,IF(C57="W",C28,IF(C57="X",C29,)))))</f>
        <v>6.97</v>
      </c>
      <c r="I57" s="10" t="s">
        <v>36</v>
      </c>
      <c r="J57" s="11" t="str">
        <f>IF(C57="s",H18,IF(C57="T",H19,IF(C57="U",H20,IF(C57="W",H21,IF(C57="X",H22,)))))</f>
        <v>1.5</v>
      </c>
      <c r="L57" s="9" t="s">
        <v>50</v>
      </c>
      <c r="M57" s="7">
        <f>IF(C57="s",C18,IF(C57="T",C19,IF(C57="U",C20,IF(C57="W",C21,IF(C57="X",C22,)))))</f>
        <v>12</v>
      </c>
    </row>
    <row r="58" spans="12:13" ht="15">
      <c r="L58" s="9" t="s">
        <v>52</v>
      </c>
      <c r="M58" s="7">
        <f>ABS(M56-M57)</f>
        <v>1</v>
      </c>
    </row>
    <row r="59" spans="2:4" ht="15">
      <c r="B59" t="s">
        <v>41</v>
      </c>
      <c r="C59" s="7">
        <f>C32*100/C33</f>
        <v>2.4</v>
      </c>
      <c r="D59" t="s">
        <v>44</v>
      </c>
    </row>
    <row r="60" ht="15">
      <c r="C60" s="12"/>
    </row>
    <row r="61" ht="15">
      <c r="B61" s="14" t="s">
        <v>43</v>
      </c>
    </row>
    <row r="62" spans="2:3" ht="15">
      <c r="B62" t="s">
        <v>42</v>
      </c>
      <c r="C62" s="30">
        <v>4</v>
      </c>
    </row>
    <row r="63" ht="15">
      <c r="C63" s="8"/>
    </row>
    <row r="64" spans="2:3" ht="15">
      <c r="B64" t="s">
        <v>51</v>
      </c>
      <c r="C64" s="6"/>
    </row>
    <row r="65" spans="2:6" ht="15">
      <c r="B65" t="s">
        <v>46</v>
      </c>
      <c r="C65" s="11">
        <f>0.5*C62*(1-C33/100)*H57*J57</f>
        <v>18.29625</v>
      </c>
      <c r="D65" s="6" t="s">
        <v>47</v>
      </c>
      <c r="E65" s="7" t="str">
        <f>IF(OR(M58=0,M58=1,M58=2,M58=10,M58=11,M58=12),"0",IF(OR(M58=4,M58=5,M58=6,M58=7,M58=8),"180","See Guide"))</f>
        <v>0</v>
      </c>
      <c r="F65" s="6" t="s">
        <v>48</v>
      </c>
    </row>
    <row r="67" ht="15">
      <c r="B67" t="s">
        <v>53</v>
      </c>
    </row>
    <row r="68" ht="15">
      <c r="B68" t="s">
        <v>54</v>
      </c>
    </row>
    <row r="69" spans="2:6" ht="15">
      <c r="B69" t="s">
        <v>45</v>
      </c>
      <c r="C69" s="13">
        <f>0.5*C62*(1-C33/100)*H56*J56</f>
        <v>5.2740947090472305</v>
      </c>
      <c r="D69" s="6" t="s">
        <v>47</v>
      </c>
      <c r="E69" s="6">
        <v>180</v>
      </c>
      <c r="F69" s="6" t="s">
        <v>48</v>
      </c>
    </row>
    <row r="71" ht="15">
      <c r="B71" t="s">
        <v>55</v>
      </c>
    </row>
    <row r="72" spans="2:6" ht="15">
      <c r="B72" t="s">
        <v>45</v>
      </c>
      <c r="C72" s="13">
        <f>0.8*C75</f>
        <v>5.424783129305723</v>
      </c>
      <c r="D72" s="6" t="s">
        <v>47</v>
      </c>
      <c r="E72" s="6">
        <v>180</v>
      </c>
      <c r="F72" s="6" t="s">
        <v>48</v>
      </c>
    </row>
    <row r="74" ht="15">
      <c r="B74" t="s">
        <v>56</v>
      </c>
    </row>
    <row r="75" spans="2:6" ht="15">
      <c r="B75" t="s">
        <v>45</v>
      </c>
      <c r="C75" s="13">
        <f>0.5*C62*(1+C33/100)*H56*J56</f>
        <v>6.780978911632154</v>
      </c>
      <c r="D75" s="6" t="s">
        <v>47</v>
      </c>
      <c r="E75" s="6">
        <v>180</v>
      </c>
      <c r="F75" s="6" t="s">
        <v>48</v>
      </c>
    </row>
    <row r="77" ht="15">
      <c r="B77" s="4" t="s">
        <v>88</v>
      </c>
    </row>
    <row r="78" ht="15">
      <c r="B78" s="4"/>
    </row>
    <row r="79" spans="2:11" ht="15">
      <c r="B79" s="19" t="s">
        <v>58</v>
      </c>
      <c r="K79" s="19" t="s">
        <v>78</v>
      </c>
    </row>
    <row r="80" spans="2:11" ht="15">
      <c r="B80" t="s">
        <v>59</v>
      </c>
      <c r="K80" t="s">
        <v>59</v>
      </c>
    </row>
    <row r="81" spans="2:11" ht="15">
      <c r="B81" s="18" t="s">
        <v>57</v>
      </c>
      <c r="K81" s="18" t="s">
        <v>57</v>
      </c>
    </row>
    <row r="83" spans="2:15" ht="15">
      <c r="B83" s="9" t="s">
        <v>41</v>
      </c>
      <c r="C83" s="11">
        <f>C37/SQRT(2)</f>
        <v>0.8485281374238569</v>
      </c>
      <c r="E83" s="23" t="s">
        <v>97</v>
      </c>
      <c r="F83" s="11">
        <f>C36*100/C34/SQRT(2)</f>
        <v>3.3941125496954276</v>
      </c>
      <c r="G83" s="24"/>
      <c r="K83" s="9" t="s">
        <v>41</v>
      </c>
      <c r="L83" s="11">
        <f>C37/SQRT(2)</f>
        <v>0.8485281374238569</v>
      </c>
      <c r="M83" s="23" t="s">
        <v>79</v>
      </c>
      <c r="N83" s="11">
        <f>C36*100/C34/SQRT(2)</f>
        <v>3.3941125496954276</v>
      </c>
      <c r="O83" s="24"/>
    </row>
    <row r="84" spans="2:12" ht="15">
      <c r="B84" s="9"/>
      <c r="K84" s="9" t="s">
        <v>84</v>
      </c>
      <c r="L84" s="11">
        <f>0.5*(C37/SQRT(2)+C36*100/C34/SQRT(2))</f>
        <v>2.1213203435596424</v>
      </c>
    </row>
    <row r="85" spans="2:18" ht="15">
      <c r="B85" s="9" t="s">
        <v>96</v>
      </c>
      <c r="C85" s="29">
        <v>6</v>
      </c>
      <c r="F85" s="6"/>
      <c r="K85" s="9" t="s">
        <v>96</v>
      </c>
      <c r="L85" s="29">
        <v>2</v>
      </c>
      <c r="M85" s="9" t="s">
        <v>80</v>
      </c>
      <c r="N85" s="11">
        <f>L85*(C33+C34)/200</f>
        <v>0.375</v>
      </c>
      <c r="O85" s="33" t="s">
        <v>81</v>
      </c>
      <c r="P85" s="34"/>
      <c r="Q85" s="34"/>
      <c r="R85" s="34"/>
    </row>
    <row r="86" ht="15">
      <c r="D86" s="26" t="s">
        <v>71</v>
      </c>
    </row>
    <row r="87" ht="15">
      <c r="D87" s="25" t="s">
        <v>72</v>
      </c>
    </row>
    <row r="88" spans="2:11" ht="15">
      <c r="B88" s="14" t="s">
        <v>70</v>
      </c>
      <c r="C88" s="25" t="s">
        <v>69</v>
      </c>
      <c r="K88" s="25" t="s">
        <v>82</v>
      </c>
    </row>
    <row r="89" spans="2:15" ht="15">
      <c r="B89" t="s">
        <v>45</v>
      </c>
      <c r="C89" s="11">
        <f>0.555*(C83+F83)/2*H56*J56</f>
        <v>3.5482083669085727</v>
      </c>
      <c r="D89" s="6" t="s">
        <v>47</v>
      </c>
      <c r="E89" s="6">
        <v>180</v>
      </c>
      <c r="F89" s="6" t="s">
        <v>48</v>
      </c>
      <c r="H89" s="2"/>
      <c r="K89" t="s">
        <v>45</v>
      </c>
      <c r="L89" s="11">
        <f>(L85+N85)/2*H56*J56</f>
        <v>3.578849981139193</v>
      </c>
      <c r="M89" s="6" t="s">
        <v>47</v>
      </c>
      <c r="N89" s="6">
        <v>180</v>
      </c>
      <c r="O89" s="6" t="s">
        <v>48</v>
      </c>
    </row>
    <row r="90" spans="2:15" ht="15">
      <c r="B90" s="21" t="s">
        <v>46</v>
      </c>
      <c r="C90" s="11">
        <f>0.445*(C83+F83)/2*H57*J57</f>
        <v>9.869389865402647</v>
      </c>
      <c r="D90" s="6" t="s">
        <v>47</v>
      </c>
      <c r="E90" s="7" t="str">
        <f>E65</f>
        <v>0</v>
      </c>
      <c r="F90" s="6" t="s">
        <v>48</v>
      </c>
      <c r="K90" s="21" t="s">
        <v>46</v>
      </c>
      <c r="L90" s="11">
        <f>(L85-N85)/2*H57*J57</f>
        <v>8.4946875</v>
      </c>
      <c r="M90" s="6" t="s">
        <v>47</v>
      </c>
      <c r="N90" s="7" t="str">
        <f>E65</f>
        <v>0</v>
      </c>
      <c r="O90" s="6" t="s">
        <v>48</v>
      </c>
    </row>
    <row r="91" spans="2:6" ht="13.5" customHeight="1">
      <c r="B91" s="9"/>
      <c r="F91" s="6"/>
    </row>
    <row r="92" spans="2:11" ht="15">
      <c r="B92" s="14" t="s">
        <v>73</v>
      </c>
      <c r="C92" s="25" t="s">
        <v>77</v>
      </c>
      <c r="K92" s="25" t="s">
        <v>83</v>
      </c>
    </row>
    <row r="93" spans="2:15" ht="15">
      <c r="B93" t="s">
        <v>45</v>
      </c>
      <c r="C93" s="11">
        <f>0.5*C85*(1+(0.95*C34)/100)*H56*J56</f>
        <v>11.188615204193056</v>
      </c>
      <c r="D93" s="6" t="s">
        <v>47</v>
      </c>
      <c r="E93" s="6">
        <v>180</v>
      </c>
      <c r="F93" s="6" t="s">
        <v>48</v>
      </c>
      <c r="K93" t="s">
        <v>45</v>
      </c>
      <c r="L93" s="11">
        <f>(L85+C36/SQRT(2))/2*H56*J56</f>
        <v>4.292402050902665</v>
      </c>
      <c r="M93" s="6" t="s">
        <v>47</v>
      </c>
      <c r="N93" s="6">
        <v>180</v>
      </c>
      <c r="O93" s="6" t="s">
        <v>48</v>
      </c>
    </row>
    <row r="94" spans="2:15" ht="15">
      <c r="B94" s="21" t="s">
        <v>46</v>
      </c>
      <c r="C94" s="11">
        <f>0.5*C85*(1-(0.95*C34)/100)*H57*J57</f>
        <v>23.915812499999994</v>
      </c>
      <c r="D94" s="6" t="s">
        <v>47</v>
      </c>
      <c r="E94" s="7" t="str">
        <f>E65</f>
        <v>0</v>
      </c>
      <c r="F94" s="6" t="s">
        <v>48</v>
      </c>
      <c r="K94" s="21" t="s">
        <v>46</v>
      </c>
      <c r="L94" s="11">
        <f>(L85-C36/SQRT(2))/2*H57*J57</f>
        <v>6.019319161616788</v>
      </c>
      <c r="M94" s="6" t="s">
        <v>47</v>
      </c>
      <c r="N94" s="7" t="str">
        <f>E65</f>
        <v>0</v>
      </c>
      <c r="O94" s="6" t="s">
        <v>48</v>
      </c>
    </row>
    <row r="97" ht="15">
      <c r="D97" s="26" t="s">
        <v>74</v>
      </c>
    </row>
    <row r="98" ht="15">
      <c r="D98" s="25" t="s">
        <v>72</v>
      </c>
    </row>
    <row r="99" spans="2:3" ht="15">
      <c r="B99" s="14" t="s">
        <v>70</v>
      </c>
      <c r="C99" s="25" t="s">
        <v>69</v>
      </c>
    </row>
    <row r="100" spans="2:7" ht="15">
      <c r="B100" t="s">
        <v>45</v>
      </c>
      <c r="C100" s="11">
        <f>C89</f>
        <v>3.5482083669085727</v>
      </c>
      <c r="D100" s="6" t="s">
        <v>47</v>
      </c>
      <c r="E100" s="6">
        <v>180</v>
      </c>
      <c r="F100" s="6" t="s">
        <v>48</v>
      </c>
      <c r="G100" s="27" t="s">
        <v>75</v>
      </c>
    </row>
    <row r="101" spans="2:6" ht="15">
      <c r="B101" s="9" t="s">
        <v>46</v>
      </c>
      <c r="C101" s="11">
        <f>C90</f>
        <v>9.869389865402647</v>
      </c>
      <c r="D101" s="6" t="s">
        <v>47</v>
      </c>
      <c r="E101" s="7" t="str">
        <f>E65</f>
        <v>0</v>
      </c>
      <c r="F101" s="6" t="s">
        <v>48</v>
      </c>
    </row>
    <row r="102" spans="2:6" ht="15">
      <c r="B102" s="9"/>
      <c r="F102" s="6"/>
    </row>
    <row r="103" spans="2:3" ht="15">
      <c r="B103" s="14" t="s">
        <v>73</v>
      </c>
      <c r="C103" s="25" t="s">
        <v>76</v>
      </c>
    </row>
    <row r="104" spans="2:6" ht="15">
      <c r="B104" t="s">
        <v>45</v>
      </c>
      <c r="C104" s="11">
        <f>0.5*C85*(1+(1.05*C34)/100)*H56*J56</f>
        <v>11.414647834580792</v>
      </c>
      <c r="D104" s="6" t="s">
        <v>47</v>
      </c>
      <c r="E104" s="6">
        <v>180</v>
      </c>
      <c r="F104" s="6" t="s">
        <v>48</v>
      </c>
    </row>
    <row r="105" spans="2:6" ht="15">
      <c r="B105" s="21" t="s">
        <v>46</v>
      </c>
      <c r="C105" s="11">
        <f>0.5*C85*(1-(1.05*C34)/100)*H57*J57</f>
        <v>23.1316875</v>
      </c>
      <c r="D105" s="6" t="s">
        <v>47</v>
      </c>
      <c r="E105" s="7" t="str">
        <f>E65</f>
        <v>0</v>
      </c>
      <c r="F105" s="6" t="s">
        <v>48</v>
      </c>
    </row>
    <row r="107" ht="15">
      <c r="B107" s="4" t="s">
        <v>89</v>
      </c>
    </row>
    <row r="109" ht="15">
      <c r="B109" s="14" t="s">
        <v>34</v>
      </c>
    </row>
    <row r="110" spans="2:5" ht="15">
      <c r="B110" s="9" t="s">
        <v>60</v>
      </c>
      <c r="C110" s="28" t="s">
        <v>31</v>
      </c>
      <c r="D110" t="str">
        <f>IF(C110="S"," ",IF(C110="T"," ",IF(C110="U"," ",IF(C110="W"," ",IF(C110="X"," ","INVALID")))))</f>
        <v> </v>
      </c>
      <c r="E110" t="s">
        <v>30</v>
      </c>
    </row>
    <row r="111" ht="15">
      <c r="B111" s="9"/>
    </row>
    <row r="112" spans="2:8" ht="15">
      <c r="B112" t="s">
        <v>35</v>
      </c>
      <c r="C112" s="11">
        <f>C38*H112</f>
        <v>0.17400000000000002</v>
      </c>
      <c r="G112" s="10" t="s">
        <v>37</v>
      </c>
      <c r="H112" s="7">
        <f>IF(C110="s",C25,IF(C110="T",C26,IF(C110="U",C27,IF(C110="W",C28,IF(C110="X",C29,)))))</f>
        <v>1.74</v>
      </c>
    </row>
    <row r="114" ht="15">
      <c r="B114" s="4" t="s">
        <v>90</v>
      </c>
    </row>
    <row r="116" ht="15">
      <c r="B116" s="14" t="s">
        <v>61</v>
      </c>
    </row>
    <row r="117" spans="2:13" ht="15">
      <c r="B117" t="s">
        <v>28</v>
      </c>
      <c r="C117" s="28" t="s">
        <v>31</v>
      </c>
      <c r="D117" t="str">
        <f>IF(C117="S"," ",IF(C117="T"," ",IF(C117="U"," ",IF(C117="W"," ",IF(C117="X"," ","INVALID")))))</f>
        <v> </v>
      </c>
      <c r="E117" t="s">
        <v>30</v>
      </c>
      <c r="G117" s="10" t="s">
        <v>39</v>
      </c>
      <c r="H117" s="7">
        <f>IF(C117="s",C25,IF(C117="T",C26,IF(C117="U",C27,IF(C117="W",C28,IF(C117="X",C29,)))))</f>
        <v>1.74</v>
      </c>
      <c r="I117" s="10"/>
      <c r="L117" s="9" t="s">
        <v>49</v>
      </c>
      <c r="M117" s="7">
        <f>IF(C117="s",C18,IF(C117="T",C19,IF(C117="U",C20,IF(C117="W",C21,IF(C117="X",C22,)))))</f>
        <v>11</v>
      </c>
    </row>
    <row r="118" spans="2:13" ht="15">
      <c r="B118" t="s">
        <v>29</v>
      </c>
      <c r="C118" s="30" t="s">
        <v>33</v>
      </c>
      <c r="D118" t="str">
        <f>IF(C118="S"," ",IF(C118="T"," ",IF(C118="U"," ",IF(C118="W"," ",IF(C118="X"," ",IF(C117=C118,"INVALID","INVALID"))))))</f>
        <v> </v>
      </c>
      <c r="G118" s="10" t="s">
        <v>40</v>
      </c>
      <c r="H118" s="7">
        <f>IF(C118="s",C25,IF(C118="T",C26,IF(C118="U",C27,IF(C118="W",C28,IF(C118="X",C29,)))))</f>
        <v>6.97</v>
      </c>
      <c r="I118" s="10"/>
      <c r="L118" s="9" t="s">
        <v>50</v>
      </c>
      <c r="M118" s="7">
        <f>IF(C118="s",C18,IF(C118="T",C19,IF(C118="U",C20,IF(C118="W",C21,IF(C118="X",C22,)))))</f>
        <v>12</v>
      </c>
    </row>
    <row r="119" spans="12:13" ht="15">
      <c r="L119" s="9" t="s">
        <v>68</v>
      </c>
      <c r="M119" s="7">
        <f>(M118-M117)</f>
        <v>1</v>
      </c>
    </row>
    <row r="120" spans="2:3" ht="15">
      <c r="B120" s="9" t="s">
        <v>62</v>
      </c>
      <c r="C120" s="11">
        <f>C38*100/C39</f>
        <v>1</v>
      </c>
    </row>
    <row r="121" spans="2:3" ht="15">
      <c r="B121" s="9" t="s">
        <v>63</v>
      </c>
      <c r="C121" s="31">
        <v>3</v>
      </c>
    </row>
    <row r="122" ht="15">
      <c r="B122" s="9"/>
    </row>
    <row r="123" ht="15">
      <c r="B123" s="21" t="s">
        <v>64</v>
      </c>
    </row>
    <row r="124" spans="2:6" ht="15">
      <c r="B124" t="s">
        <v>46</v>
      </c>
      <c r="C124" s="11">
        <f>C121*H118</f>
        <v>20.91</v>
      </c>
      <c r="D124" s="6" t="s">
        <v>47</v>
      </c>
      <c r="E124" s="20">
        <f>M119*30</f>
        <v>30</v>
      </c>
      <c r="F124" s="6" t="s">
        <v>48</v>
      </c>
    </row>
    <row r="125" ht="15">
      <c r="F125" s="6"/>
    </row>
    <row r="126" spans="2:6" ht="15">
      <c r="B126" t="s">
        <v>65</v>
      </c>
      <c r="F126" s="6"/>
    </row>
    <row r="127" spans="2:6" ht="15">
      <c r="B127" s="9" t="s">
        <v>45</v>
      </c>
      <c r="C127" s="11">
        <f>C121*(1-C39/100)*H117*1.1</f>
        <v>5.167800000000001</v>
      </c>
      <c r="D127" s="6" t="s">
        <v>47</v>
      </c>
      <c r="E127" s="6">
        <v>180</v>
      </c>
      <c r="F127" s="6" t="s">
        <v>48</v>
      </c>
    </row>
    <row r="128" spans="2:6" ht="15">
      <c r="B128" s="9"/>
      <c r="C128" s="6"/>
      <c r="D128" s="6"/>
      <c r="E128" s="6"/>
      <c r="F128" s="6"/>
    </row>
    <row r="129" spans="2:6" ht="15">
      <c r="B129" s="22" t="s">
        <v>67</v>
      </c>
      <c r="C129" s="6"/>
      <c r="D129" s="6"/>
      <c r="E129" s="6"/>
      <c r="F129" s="6"/>
    </row>
    <row r="130" ht="15">
      <c r="F130" s="6"/>
    </row>
    <row r="131" ht="15">
      <c r="B131" t="s">
        <v>66</v>
      </c>
    </row>
    <row r="132" spans="2:6" ht="15">
      <c r="B132" s="9" t="s">
        <v>45</v>
      </c>
      <c r="C132" s="11">
        <f>C121*(1-C39/100)*H117</f>
        <v>4.698</v>
      </c>
      <c r="D132" s="6" t="s">
        <v>47</v>
      </c>
      <c r="E132" s="6">
        <v>180</v>
      </c>
      <c r="F132" s="6" t="s">
        <v>48</v>
      </c>
    </row>
  </sheetData>
  <sheetProtection/>
  <printOptions/>
  <pageMargins left="0.7" right="0.7" top="0.75" bottom="0.75" header="0.3" footer="0.3"/>
  <pageSetup fitToHeight="4" fitToWidth="1" horizontalDpi="600" verticalDpi="600" orientation="portrait" scale="6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Schweitzer Engineering Laboratories,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 Alexander</dc:creator>
  <cp:keywords/>
  <dc:description/>
  <cp:lastModifiedBy>aarofr</cp:lastModifiedBy>
  <cp:lastPrinted>2010-01-07T20:18:57Z</cp:lastPrinted>
  <dcterms:created xsi:type="dcterms:W3CDTF">2009-06-06T12:25:48Z</dcterms:created>
  <dcterms:modified xsi:type="dcterms:W3CDTF">2010-06-02T19:55:48Z</dcterms:modified>
  <cp:category/>
  <cp:version/>
  <cp:contentType/>
  <cp:contentStatus/>
</cp:coreProperties>
</file>